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3E0\"/>
    </mc:Choice>
  </mc:AlternateContent>
  <bookViews>
    <workbookView xWindow="0" yWindow="0" windowWidth="19305" windowHeight="8085"/>
  </bookViews>
  <sheets>
    <sheet name="CT23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Z2" i="1" s="1"/>
  <c r="W2" i="1"/>
  <c r="U2" i="1"/>
  <c r="P2" i="1"/>
  <c r="N2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22" i="1"/>
  <c r="F21" i="1"/>
  <c r="F20" i="1"/>
  <c r="F19" i="1"/>
  <c r="F18" i="1"/>
  <c r="H18" i="1" s="1"/>
  <c r="F17" i="1"/>
  <c r="H17" i="1" s="1"/>
  <c r="F16" i="1"/>
  <c r="F15" i="1"/>
  <c r="F14" i="1"/>
  <c r="H14" i="1" s="1"/>
  <c r="F13" i="1"/>
  <c r="H13" i="1" s="1"/>
  <c r="F12" i="1"/>
  <c r="F11" i="1"/>
  <c r="F10" i="1"/>
  <c r="F9" i="1"/>
  <c r="H9" i="1" s="1"/>
  <c r="F8" i="1"/>
  <c r="F7" i="1"/>
  <c r="F6" i="1"/>
  <c r="H6" i="1" s="1"/>
  <c r="F5" i="1"/>
  <c r="H5" i="1" s="1"/>
  <c r="F4" i="1"/>
  <c r="F3" i="1"/>
  <c r="F2" i="1"/>
  <c r="H2" i="1" s="1"/>
  <c r="H21" i="1" l="1"/>
  <c r="H22" i="1"/>
  <c r="H15" i="1"/>
  <c r="H19" i="1"/>
  <c r="H10" i="1"/>
  <c r="H3" i="1"/>
  <c r="H7" i="1"/>
  <c r="H11" i="1"/>
  <c r="H4" i="1"/>
  <c r="H8" i="1"/>
  <c r="H12" i="1"/>
  <c r="H16" i="1"/>
  <c r="H20" i="1"/>
  <c r="AA21" i="1" l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E9" i="1"/>
  <c r="AB3" i="1" l="1"/>
  <c r="AB5" i="1"/>
  <c r="AB7" i="1"/>
  <c r="AB9" i="1"/>
  <c r="AB11" i="1"/>
  <c r="AB13" i="1"/>
  <c r="AB15" i="1"/>
  <c r="AB17" i="1"/>
  <c r="AB21" i="1"/>
  <c r="AB2" i="1"/>
  <c r="AB4" i="1"/>
  <c r="AB6" i="1"/>
  <c r="AB8" i="1"/>
  <c r="AB10" i="1"/>
  <c r="AB12" i="1"/>
  <c r="AB14" i="1"/>
  <c r="AB16" i="1"/>
  <c r="AB18" i="1"/>
  <c r="AB20" i="1"/>
  <c r="AB19" i="1"/>
  <c r="I17" i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12" i="1" s="1"/>
  <c r="L12" i="1" s="1"/>
  <c r="M12" i="1" l="1"/>
  <c r="K14" i="1"/>
  <c r="L14" i="1" s="1"/>
  <c r="K9" i="1"/>
  <c r="L9" i="1" s="1"/>
  <c r="K18" i="1"/>
  <c r="L18" i="1" s="1"/>
  <c r="K21" i="1"/>
  <c r="L21" i="1" s="1"/>
  <c r="K20" i="1"/>
  <c r="L20" i="1" s="1"/>
  <c r="K17" i="1"/>
  <c r="L17" i="1" s="1"/>
  <c r="K19" i="1"/>
  <c r="L19" i="1" s="1"/>
  <c r="K3" i="1"/>
  <c r="L3" i="1" s="1"/>
  <c r="K16" i="1"/>
  <c r="L16" i="1" s="1"/>
  <c r="K13" i="1"/>
  <c r="L13" i="1" s="1"/>
  <c r="K15" i="1"/>
  <c r="L15" i="1" s="1"/>
  <c r="K22" i="1"/>
  <c r="L22" i="1" s="1"/>
  <c r="K2" i="1"/>
  <c r="K6" i="1"/>
  <c r="L6" i="1" s="1"/>
  <c r="K7" i="1"/>
  <c r="L7" i="1" s="1"/>
  <c r="K4" i="1"/>
  <c r="L4" i="1" s="1"/>
  <c r="K5" i="1"/>
  <c r="L5" i="1" s="1"/>
  <c r="K10" i="1"/>
  <c r="L10" i="1" s="1"/>
  <c r="K11" i="1"/>
  <c r="L11" i="1" s="1"/>
  <c r="K8" i="1"/>
  <c r="L8" i="1" s="1"/>
  <c r="X12" i="1" l="1"/>
  <c r="N12" i="1"/>
  <c r="M5" i="1"/>
  <c r="M16" i="1"/>
  <c r="M4" i="1"/>
  <c r="M21" i="1"/>
  <c r="M15" i="1"/>
  <c r="M2" i="1"/>
  <c r="X2" i="1" s="1"/>
  <c r="M20" i="1"/>
  <c r="M8" i="1"/>
  <c r="M22" i="1"/>
  <c r="N22" i="1" s="1"/>
  <c r="M3" i="1"/>
  <c r="N3" i="1" s="1"/>
  <c r="T12" i="1"/>
  <c r="O12" i="1"/>
  <c r="P12" i="1" s="1"/>
  <c r="M11" i="1"/>
  <c r="M7" i="1"/>
  <c r="M19" i="1"/>
  <c r="N19" i="1" s="1"/>
  <c r="M18" i="1"/>
  <c r="M14" i="1"/>
  <c r="M10" i="1"/>
  <c r="M6" i="1"/>
  <c r="N6" i="1" s="1"/>
  <c r="M13" i="1"/>
  <c r="M17" i="1"/>
  <c r="M9" i="1"/>
  <c r="AC12" i="1"/>
  <c r="X13" i="1" l="1"/>
  <c r="N13" i="1"/>
  <c r="X18" i="1"/>
  <c r="N18" i="1"/>
  <c r="X8" i="1"/>
  <c r="N8" i="1"/>
  <c r="X21" i="1"/>
  <c r="N21" i="1"/>
  <c r="U12" i="1"/>
  <c r="X20" i="1"/>
  <c r="Y20" i="1" s="1"/>
  <c r="Z20" i="1" s="1"/>
  <c r="N20" i="1"/>
  <c r="Y12" i="1"/>
  <c r="Z12" i="1" s="1"/>
  <c r="X9" i="1"/>
  <c r="N9" i="1"/>
  <c r="X10" i="1"/>
  <c r="N10" i="1"/>
  <c r="X7" i="1"/>
  <c r="N7" i="1"/>
  <c r="X16" i="1"/>
  <c r="N16" i="1"/>
  <c r="X17" i="1"/>
  <c r="N17" i="1"/>
  <c r="X14" i="1"/>
  <c r="N14" i="1"/>
  <c r="X11" i="1"/>
  <c r="N11" i="1"/>
  <c r="Y22" i="1"/>
  <c r="Z22" i="1" s="1"/>
  <c r="U22" i="1"/>
  <c r="X15" i="1"/>
  <c r="N15" i="1"/>
  <c r="X5" i="1"/>
  <c r="N5" i="1"/>
  <c r="X4" i="1"/>
  <c r="N4" i="1"/>
  <c r="AC4" i="1"/>
  <c r="X6" i="1"/>
  <c r="Y6" i="1" s="1"/>
  <c r="Z6" i="1" s="1"/>
  <c r="AC14" i="1"/>
  <c r="X3" i="1"/>
  <c r="AC10" i="1"/>
  <c r="X19" i="1"/>
  <c r="Y19" i="1" s="1"/>
  <c r="Z19" i="1" s="1"/>
  <c r="T2" i="1"/>
  <c r="O2" i="1"/>
  <c r="O21" i="1"/>
  <c r="P21" i="1" s="1"/>
  <c r="T21" i="1"/>
  <c r="O18" i="1"/>
  <c r="T18" i="1"/>
  <c r="U18" i="1" s="1"/>
  <c r="T20" i="1"/>
  <c r="U20" i="1" s="1"/>
  <c r="O20" i="1"/>
  <c r="P20" i="1" s="1"/>
  <c r="T15" i="1"/>
  <c r="O15" i="1"/>
  <c r="O5" i="1"/>
  <c r="P5" i="1" s="1"/>
  <c r="T5" i="1"/>
  <c r="AC16" i="1"/>
  <c r="T17" i="1"/>
  <c r="O17" i="1"/>
  <c r="P17" i="1" s="1"/>
  <c r="O14" i="1"/>
  <c r="T14" i="1"/>
  <c r="U14" i="1" s="1"/>
  <c r="T11" i="1"/>
  <c r="O11" i="1"/>
  <c r="P11" i="1" s="1"/>
  <c r="Q12" i="1"/>
  <c r="T8" i="1"/>
  <c r="O8" i="1"/>
  <c r="AC2" i="1"/>
  <c r="T16" i="1"/>
  <c r="O16" i="1"/>
  <c r="P16" i="1" s="1"/>
  <c r="O6" i="1"/>
  <c r="P6" i="1" s="1"/>
  <c r="T6" i="1"/>
  <c r="U6" i="1" s="1"/>
  <c r="T19" i="1"/>
  <c r="U19" i="1" s="1"/>
  <c r="O19" i="1"/>
  <c r="P19" i="1" s="1"/>
  <c r="T3" i="1"/>
  <c r="U3" i="1" s="1"/>
  <c r="O3" i="1"/>
  <c r="P3" i="1" s="1"/>
  <c r="O13" i="1"/>
  <c r="T13" i="1"/>
  <c r="T9" i="1"/>
  <c r="O9" i="1"/>
  <c r="P9" i="1" s="1"/>
  <c r="O10" i="1"/>
  <c r="T10" i="1"/>
  <c r="U10" i="1" s="1"/>
  <c r="Q10" i="1"/>
  <c r="T7" i="1"/>
  <c r="U7" i="1" s="1"/>
  <c r="O7" i="1"/>
  <c r="O22" i="1"/>
  <c r="P22" i="1" s="1"/>
  <c r="Q22" i="1"/>
  <c r="T4" i="1"/>
  <c r="U4" i="1" s="1"/>
  <c r="O4" i="1"/>
  <c r="U9" i="1" l="1"/>
  <c r="W10" i="1" s="1"/>
  <c r="P8" i="1"/>
  <c r="U11" i="1"/>
  <c r="U17" i="1"/>
  <c r="W19" i="1" s="1"/>
  <c r="P15" i="1"/>
  <c r="Y15" i="1"/>
  <c r="Z15" i="1" s="1"/>
  <c r="AC11" i="1"/>
  <c r="Y11" i="1"/>
  <c r="Z11" i="1" s="1"/>
  <c r="AC17" i="1"/>
  <c r="Y17" i="1"/>
  <c r="Z17" i="1" s="1"/>
  <c r="Y7" i="1"/>
  <c r="Z7" i="1" s="1"/>
  <c r="Y9" i="1"/>
  <c r="Z9" i="1" s="1"/>
  <c r="AC8" i="1"/>
  <c r="Y8" i="1"/>
  <c r="Z8" i="1" s="1"/>
  <c r="Y13" i="1"/>
  <c r="Z13" i="1" s="1"/>
  <c r="U13" i="1"/>
  <c r="W13" i="1" s="1"/>
  <c r="U8" i="1"/>
  <c r="U15" i="1"/>
  <c r="W15" i="1" s="1"/>
  <c r="Q18" i="1"/>
  <c r="P18" i="1"/>
  <c r="AC9" i="1"/>
  <c r="P7" i="1"/>
  <c r="P10" i="1"/>
  <c r="P13" i="1"/>
  <c r="U16" i="1"/>
  <c r="W16" i="1" s="1"/>
  <c r="Q14" i="1"/>
  <c r="P14" i="1"/>
  <c r="U5" i="1"/>
  <c r="U21" i="1"/>
  <c r="AC19" i="1"/>
  <c r="AC7" i="1"/>
  <c r="Y5" i="1"/>
  <c r="Z5" i="1" s="1"/>
  <c r="Y14" i="1"/>
  <c r="Z14" i="1" s="1"/>
  <c r="Y16" i="1"/>
  <c r="Z16" i="1" s="1"/>
  <c r="Y10" i="1"/>
  <c r="Z10" i="1" s="1"/>
  <c r="Y21" i="1"/>
  <c r="Z21" i="1" s="1"/>
  <c r="Y18" i="1"/>
  <c r="Z18" i="1" s="1"/>
  <c r="Q4" i="1"/>
  <c r="P4" i="1"/>
  <c r="Y4" i="1"/>
  <c r="Z4" i="1" s="1"/>
  <c r="W14" i="1"/>
  <c r="W6" i="1"/>
  <c r="W17" i="1"/>
  <c r="W5" i="1"/>
  <c r="W20" i="1"/>
  <c r="W8" i="1"/>
  <c r="W4" i="1"/>
  <c r="W11" i="1"/>
  <c r="W7" i="1"/>
  <c r="W3" i="1"/>
  <c r="X24" i="1"/>
  <c r="Y3" i="1"/>
  <c r="Z3" i="1" s="1"/>
  <c r="V9" i="1"/>
  <c r="V3" i="1"/>
  <c r="V17" i="1"/>
  <c r="V15" i="1"/>
  <c r="V18" i="1"/>
  <c r="Q2" i="1"/>
  <c r="AC6" i="1"/>
  <c r="V8" i="1"/>
  <c r="Q19" i="1"/>
  <c r="V12" i="1"/>
  <c r="Q16" i="1"/>
  <c r="AC3" i="1"/>
  <c r="V19" i="1"/>
  <c r="Q13" i="1"/>
  <c r="Q21" i="1"/>
  <c r="V20" i="1"/>
  <c r="AC5" i="1"/>
  <c r="V21" i="1"/>
  <c r="V6" i="1"/>
  <c r="AC18" i="1"/>
  <c r="Q3" i="1"/>
  <c r="Q8" i="1"/>
  <c r="Q11" i="1"/>
  <c r="Q15" i="1"/>
  <c r="V2" i="1"/>
  <c r="V7" i="1"/>
  <c r="V5" i="1"/>
  <c r="V14" i="1"/>
  <c r="V16" i="1"/>
  <c r="AC15" i="1"/>
  <c r="Q6" i="1"/>
  <c r="AC21" i="1"/>
  <c r="Q20" i="1"/>
  <c r="V10" i="1"/>
  <c r="V11" i="1"/>
  <c r="V13" i="1"/>
  <c r="V4" i="1"/>
  <c r="AC20" i="1"/>
  <c r="Q7" i="1"/>
  <c r="AC13" i="1"/>
  <c r="Q9" i="1"/>
  <c r="Q17" i="1"/>
  <c r="Q5" i="1"/>
  <c r="Y24" i="1" l="1"/>
  <c r="W21" i="1"/>
  <c r="W18" i="1"/>
  <c r="W12" i="1"/>
  <c r="W9" i="1"/>
  <c r="AC24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<sst xmlns="http://schemas.openxmlformats.org/spreadsheetml/2006/main" count="55" uniqueCount="55">
  <si>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</si>
  <si>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</si>
  <si>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</si>
  <si>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</si>
  <si>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</si>
  <si>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</si>
  <si>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</si>
  <si>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</si>
  <si>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</si>
  <si>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</si>
  <si>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</si>
  <si>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</si>
  <si>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CT23E 1 mL</t>
  </si>
  <si>
    <t>CT23E 2 mL</t>
  </si>
  <si>
    <t>CT23E 3 mL</t>
  </si>
  <si>
    <t>CT23E 4 mL</t>
  </si>
  <si>
    <t>CT23E 5 mL</t>
  </si>
  <si>
    <t>CT23E 6 mL</t>
  </si>
  <si>
    <t>CT23E 7 mL</t>
  </si>
  <si>
    <t>CT23E 8 mL</t>
  </si>
  <si>
    <t>CT23E 9 mL</t>
  </si>
  <si>
    <t>CT23E 10 mL</t>
  </si>
  <si>
    <t>CT23E 11 mL</t>
  </si>
  <si>
    <t>CT23E 12 mL</t>
  </si>
  <si>
    <t>CT23E 13 mL</t>
  </si>
  <si>
    <t>CT23E 14 mL</t>
  </si>
  <si>
    <t>CT23E 15 mL</t>
  </si>
  <si>
    <t>CT23E 16 mL</t>
  </si>
  <si>
    <t>CT23E 17 mL</t>
  </si>
  <si>
    <t>CT23E 18 mL</t>
  </si>
  <si>
    <t>CT23E 19 mL</t>
  </si>
  <si>
    <t>CT23E 20 mL</t>
  </si>
  <si>
    <t>4 ml/min</t>
  </si>
  <si>
    <t>Weight of eluate (g)</t>
  </si>
  <si>
    <t>Weight Corrected Sr-90 Activity (DPM)</t>
  </si>
  <si>
    <t>Cumulative Activity (DPM)</t>
  </si>
  <si>
    <t>Decay constant of sr-90=</t>
  </si>
  <si>
    <t>Time from 19.07.2018</t>
  </si>
  <si>
    <t>DC factor</t>
  </si>
  <si>
    <t>DC to 31.07.2018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</si>
  <si>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</si>
  <si>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</si>
  <si>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</si>
  <si>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</si>
  <si>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</si>
  <si>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</si>
  <si>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</si>
  <si>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</si>
  <si>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</si>
  <si>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</si>
  <si>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 σ</t>
  </si>
  <si>
    <t>Activity (Bq) σ ^2</t>
  </si>
  <si>
    <t>Activity (bq)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</si>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</sst>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0" xfId="0" applyFill="1"/>
    <xf numFmtId="166" fontId="0" fillId="2" borderId="3" xfId="0" applyNumberFormat="1" applyFill="1" applyBorder="1"/>
    <xf numFmtId="166" fontId="0" fillId="2" borderId="1" xfId="0" applyNumberFormat="1" applyFill="1" applyBorder="1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0" fillId="3" borderId="0" xfId="0" applyFill="1"/>
    <xf numFmtId="22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2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70" zoomScaleNormal="70" workbookViewId="0">
      <selection activeCell="C33" sqref="C3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8.140625" bestFit="1" customWidth="1"/>
    <col min="4" max="4" width="17.5703125" bestFit="1" customWidth="1"/>
    <col min="5" max="6" width="17.5703125" style="5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7" t="s">
        <v>3</v>
      </c>
      <c r="B1" s="24" t="s">
        <v>5</v>
      </c>
      <c r="C1" s="9" t="s">
        <v>4</v>
      </c>
      <c r="D1" s="9" t="s">
        <v>0</v>
      </c>
      <c r="E1" s="2" t="s">
        <v>40</v>
      </c>
      <c r="F1" s="2" t="s">
        <v>41</v>
      </c>
      <c r="G1" s="9" t="s">
        <v>10</v>
      </c>
      <c r="H1" s="2" t="s">
        <v>42</v>
      </c>
      <c r="I1" s="9" t="s">
        <v>1</v>
      </c>
      <c r="J1" s="2" t="s">
        <v>43</v>
      </c>
      <c r="K1" s="9" t="s">
        <v>6</v>
      </c>
      <c r="L1" s="2" t="s">
        <v>44</v>
      </c>
      <c r="M1" s="9" t="s">
        <v>7</v>
      </c>
      <c r="N1" s="2" t="s">
        <v>45</v>
      </c>
      <c r="O1" s="9" t="s">
        <v>8</v>
      </c>
      <c r="P1" s="2" t="s">
        <v>46</v>
      </c>
      <c r="Q1" s="9" t="s">
        <v>9</v>
      </c>
      <c r="R1" s="9" t="s">
        <v>33</v>
      </c>
      <c r="S1" s="2" t="s">
        <v>47</v>
      </c>
      <c r="T1" s="9" t="s">
        <v>34</v>
      </c>
      <c r="U1" s="2" t="s">
        <v>48</v>
      </c>
      <c r="V1" s="9" t="s">
        <v>35</v>
      </c>
      <c r="W1" s="2" t="s">
        <v>49</v>
      </c>
      <c r="X1" s="9" t="s">
        <v>52</v>
      </c>
      <c r="Y1" s="2" t="s">
        <v>50</v>
      </c>
      <c r="Z1" s="2" t="s">
        <v>51</v>
      </c>
      <c r="AA1" s="9" t="s">
        <v>37</v>
      </c>
      <c r="AB1" s="9" t="s">
        <v>38</v>
      </c>
      <c r="AC1" s="23" t="s">
        <v>39</v>
      </c>
    </row>
    <row r="2" spans="1:31" x14ac:dyDescent="0.25">
      <c r="A2" s="28" t="s">
        <v>12</v>
      </c>
      <c r="B2" s="25">
        <v>43319.614583333336</v>
      </c>
      <c r="C2" s="18">
        <v>43321.232638888891</v>
      </c>
      <c r="D2" s="19">
        <v>12.65</v>
      </c>
      <c r="E2" s="20">
        <v>5.19</v>
      </c>
      <c r="F2" s="3">
        <f>D2*(E2/100)</f>
        <v>0.65653500000000009</v>
      </c>
      <c r="G2" s="17">
        <f t="shared" ref="G2:G22" si="0">D2-$D$22</f>
        <v>4.8800000000000008</v>
      </c>
      <c r="H2" s="3">
        <f>SQRT((F2^2)+(F$17^2))</f>
        <v>1.1784262121325204</v>
      </c>
      <c r="I2" s="21">
        <f>(C2-B2)*24</f>
        <v>38.833333333313931</v>
      </c>
      <c r="J2" s="6">
        <f>1/60</f>
        <v>1.6666666666666666E-2</v>
      </c>
      <c r="K2" s="17">
        <f>1-EXP(-$AE$3*I2)</f>
        <v>0.35492657542372197</v>
      </c>
      <c r="L2" s="3">
        <f>K2*SQRT(((J2/I2)^2))</f>
        <v>1.5232900232785377E-4</v>
      </c>
      <c r="M2" s="17">
        <f>G2/((1+K2))</f>
        <v>3.6016711816829585</v>
      </c>
      <c r="N2" s="3">
        <f t="shared" ref="N2:N22" si="1">M2*SQRT(((H2/G2)^2)+((L2/K2)^2))</f>
        <v>0.86973574414737131</v>
      </c>
      <c r="O2" s="17">
        <f>M2*K2</f>
        <v>1.2783288183170425</v>
      </c>
      <c r="P2" s="3">
        <f t="shared" ref="P2:P22" si="2">O2*SQRT(((N2/M2)^2)+((L2/K2)^2))</f>
        <v>0.3086928167415614</v>
      </c>
      <c r="Q2" s="17">
        <f>M2+O2</f>
        <v>4.8800000000000008</v>
      </c>
      <c r="R2" s="17">
        <v>0.87549999999999972</v>
      </c>
      <c r="S2" s="3">
        <v>1.4142135623730951E-4</v>
      </c>
      <c r="T2" s="17">
        <f>M2/R2</f>
        <v>4.1138448677132606</v>
      </c>
      <c r="U2" s="3">
        <f>T2*SQRT(((S2/R2)^2)+((N2/M2)^2))</f>
        <v>0.99341626354307933</v>
      </c>
      <c r="V2" s="17">
        <f>SUM($T$2:T2)</f>
        <v>4.1138448677132606</v>
      </c>
      <c r="W2" s="3">
        <f>SQRT((U2^2))</f>
        <v>0.99341626354307933</v>
      </c>
      <c r="X2" s="17">
        <f>M2/60</f>
        <v>6.0027853028049312E-2</v>
      </c>
      <c r="Y2" s="3">
        <f>X2*SQRT(((N2/M2)^2))</f>
        <v>1.4495595735789521E-2</v>
      </c>
      <c r="Z2" s="3">
        <f>Y2^2</f>
        <v>2.1012229573543934E-4</v>
      </c>
      <c r="AA2" s="17">
        <f>(C2-$AE$6)*24</f>
        <v>209.58333333337214</v>
      </c>
      <c r="AB2" s="22">
        <f>EXP(-$AE$9*AA2)</f>
        <v>0.99942434725615537</v>
      </c>
      <c r="AC2" s="17">
        <f>X2/AB2</f>
        <v>6.0062428129604092E-2</v>
      </c>
      <c r="AE2" t="s">
        <v>2</v>
      </c>
    </row>
    <row r="3" spans="1:31" x14ac:dyDescent="0.25">
      <c r="A3" s="29" t="s">
        <v>13</v>
      </c>
      <c r="B3" s="26">
        <v>43319.614756944444</v>
      </c>
      <c r="C3" s="12">
        <v>43321.255555555559</v>
      </c>
      <c r="D3" s="13">
        <v>13.71</v>
      </c>
      <c r="E3" s="14">
        <v>4.99</v>
      </c>
      <c r="F3" s="4">
        <f t="shared" ref="F3:F22" si="3">D3*(E3/100)</f>
        <v>0.68412899999999999</v>
      </c>
      <c r="G3" s="8">
        <f t="shared" si="0"/>
        <v>5.9400000000000013</v>
      </c>
      <c r="H3" s="4">
        <f>SQRT((F3^2)+(F$17^2))</f>
        <v>1.194019522393583</v>
      </c>
      <c r="I3" s="15">
        <f t="shared" ref="I3:I21" si="4">(C3-B3)*24</f>
        <v>39.37916666676756</v>
      </c>
      <c r="J3" s="7">
        <f t="shared" ref="J3:J22" si="5">1/60</f>
        <v>1.6666666666666666E-2</v>
      </c>
      <c r="K3" s="8">
        <f>1-EXP(-$AE$3*I3)</f>
        <v>0.35888925479569156</v>
      </c>
      <c r="L3" s="4">
        <f t="shared" ref="L3:L22" si="6">K3*SQRT(((J3/I3)^2))</f>
        <v>1.518947221647538E-4</v>
      </c>
      <c r="M3" s="8">
        <f>G3/((1+K3))</f>
        <v>4.3712171385835834</v>
      </c>
      <c r="N3" s="4">
        <f t="shared" si="1"/>
        <v>0.87867511265042397</v>
      </c>
      <c r="O3" s="8">
        <f>M3*K3</f>
        <v>1.5687828614164174</v>
      </c>
      <c r="P3" s="4">
        <f t="shared" si="2"/>
        <v>0.31534775537648219</v>
      </c>
      <c r="Q3" s="8">
        <f t="shared" ref="Q3:Q22" si="7">M3+O3</f>
        <v>5.9400000000000013</v>
      </c>
      <c r="R3" s="8">
        <v>1.0347</v>
      </c>
      <c r="S3" s="4">
        <v>1.4142135623730951E-4</v>
      </c>
      <c r="T3" s="8">
        <f>M3/R3</f>
        <v>4.2246227298575274</v>
      </c>
      <c r="U3" s="4">
        <f t="shared" ref="U3:U22" si="8">T3*SQRT(((S3/R3)^2)+((N3/M3)^2))</f>
        <v>0.84920780493668835</v>
      </c>
      <c r="V3" s="8">
        <f>SUM($T$2:T3)</f>
        <v>8.3384675975707871</v>
      </c>
      <c r="W3" s="4">
        <f>SQRT((U3^2)+(U2^2))</f>
        <v>1.3069161291518601</v>
      </c>
      <c r="X3" s="8">
        <f t="shared" ref="X3:X21" si="9">M3/60</f>
        <v>7.2853618976393059E-2</v>
      </c>
      <c r="Y3" s="4">
        <f t="shared" ref="Y3:Y16" si="10">X3*SQRT(((N3/M3)^2))</f>
        <v>1.4644585210840401E-2</v>
      </c>
      <c r="Z3" s="4">
        <f t="shared" ref="Z3:Z16" si="11">Y3^2</f>
        <v>2.1446387599756539E-4</v>
      </c>
      <c r="AA3" s="8">
        <f>(C3-$AE$6)*24</f>
        <v>210.1333333334187</v>
      </c>
      <c r="AB3" s="16">
        <f t="shared" ref="AB3:AB21" si="12">EXP(-$AE$9*AA3)</f>
        <v>0.99942283703289925</v>
      </c>
      <c r="AC3" s="8">
        <f t="shared" ref="AC3:AC21" si="13">X3/AB3</f>
        <v>7.2895691670086221E-2</v>
      </c>
      <c r="AE3">
        <f>LN(2)/61.4</f>
        <v>1.1289042028663604E-2</v>
      </c>
    </row>
    <row r="4" spans="1:31" x14ac:dyDescent="0.25">
      <c r="A4" s="29" t="s">
        <v>14</v>
      </c>
      <c r="B4" s="26">
        <v>43319.614930555559</v>
      </c>
      <c r="C4" s="12">
        <v>43321.27847222222</v>
      </c>
      <c r="D4" s="13">
        <v>15.42</v>
      </c>
      <c r="E4" s="14">
        <v>4.7</v>
      </c>
      <c r="F4" s="4">
        <f t="shared" si="3"/>
        <v>0.72474000000000005</v>
      </c>
      <c r="G4" s="8">
        <f t="shared" si="0"/>
        <v>7.65</v>
      </c>
      <c r="H4" s="4">
        <f t="shared" ref="H4:H17" si="14">SQRT((F4^2)+(F$17^2))</f>
        <v>1.2177430758645273</v>
      </c>
      <c r="I4" s="15">
        <f t="shared" si="4"/>
        <v>39.924999999871943</v>
      </c>
      <c r="J4" s="7">
        <f t="shared" si="5"/>
        <v>1.6666666666666666E-2</v>
      </c>
      <c r="K4" s="8">
        <f>1-EXP(-$AE$3*I4)</f>
        <v>0.36282759146677268</v>
      </c>
      <c r="L4" s="4">
        <f t="shared" si="6"/>
        <v>1.5146215465161193E-4</v>
      </c>
      <c r="M4" s="8">
        <f>G4/((1+K4))</f>
        <v>5.6133292632903933</v>
      </c>
      <c r="N4" s="4">
        <f t="shared" si="1"/>
        <v>0.89354462067400797</v>
      </c>
      <c r="O4" s="8">
        <f>M4*K4</f>
        <v>2.0366707367096071</v>
      </c>
      <c r="P4" s="4">
        <f t="shared" si="2"/>
        <v>0.32420375740018786</v>
      </c>
      <c r="Q4" s="8">
        <f t="shared" si="7"/>
        <v>7.65</v>
      </c>
      <c r="R4" s="8">
        <v>1.0351999999999997</v>
      </c>
      <c r="S4" s="4">
        <v>1.4142135623730951E-4</v>
      </c>
      <c r="T4" s="8">
        <f>M4/R4</f>
        <v>5.4224587164706293</v>
      </c>
      <c r="U4" s="4">
        <f t="shared" si="8"/>
        <v>0.86316165932654032</v>
      </c>
      <c r="V4" s="8">
        <f>SUM($T$2:T4)</f>
        <v>13.760926314041416</v>
      </c>
      <c r="W4" s="4">
        <f>SQRT((U4^2)+(U3^2)+(U2^2))</f>
        <v>1.5662304488065055</v>
      </c>
      <c r="X4" s="8">
        <f t="shared" si="9"/>
        <v>9.3555487721506556E-2</v>
      </c>
      <c r="Y4" s="4">
        <f t="shared" si="10"/>
        <v>1.4892410344566799E-2</v>
      </c>
      <c r="Z4" s="4">
        <f t="shared" si="11"/>
        <v>2.2178388587096019E-4</v>
      </c>
      <c r="AA4" s="8">
        <f>(C4-$AE$6)*24</f>
        <v>210.68333333329065</v>
      </c>
      <c r="AB4" s="16">
        <f t="shared" si="12"/>
        <v>0.99942132681192575</v>
      </c>
      <c r="AC4" s="8">
        <f t="shared" si="13"/>
        <v>9.3609657120226855E-2</v>
      </c>
    </row>
    <row r="5" spans="1:31" x14ac:dyDescent="0.25">
      <c r="A5" s="29" t="s">
        <v>15</v>
      </c>
      <c r="B5" s="26">
        <v>43319.615103993056</v>
      </c>
      <c r="C5" s="12">
        <v>43321.301388888889</v>
      </c>
      <c r="D5" s="13">
        <v>22.24</v>
      </c>
      <c r="E5" s="14">
        <v>3.92</v>
      </c>
      <c r="F5" s="4">
        <f t="shared" si="3"/>
        <v>0.87180799999999992</v>
      </c>
      <c r="G5" s="8">
        <f t="shared" si="0"/>
        <v>14.469999999999999</v>
      </c>
      <c r="H5" s="4">
        <f t="shared" si="14"/>
        <v>1.3106102853556429</v>
      </c>
      <c r="I5" s="15">
        <f t="shared" si="4"/>
        <v>40.470837500004563</v>
      </c>
      <c r="J5" s="7">
        <f t="shared" si="5"/>
        <v>1.6666666666666666E-2</v>
      </c>
      <c r="K5" s="8">
        <f>1-EXP(-$AE$3*I5)</f>
        <v>0.36674176476603326</v>
      </c>
      <c r="L5" s="4">
        <f t="shared" si="6"/>
        <v>1.5103128879158641E-4</v>
      </c>
      <c r="M5" s="8">
        <f>G5/((1+K5))</f>
        <v>10.587223111951259</v>
      </c>
      <c r="N5" s="4">
        <f t="shared" si="1"/>
        <v>0.9589403544849826</v>
      </c>
      <c r="O5" s="8">
        <f>M5*K5</f>
        <v>3.8827768880487392</v>
      </c>
      <c r="P5" s="4">
        <f t="shared" si="2"/>
        <v>0.35168711298758543</v>
      </c>
      <c r="Q5" s="8">
        <f t="shared" si="7"/>
        <v>14.469999999999999</v>
      </c>
      <c r="R5" s="8">
        <v>0.84750000000000014</v>
      </c>
      <c r="S5" s="4">
        <v>1.4142135623730951E-4</v>
      </c>
      <c r="T5" s="8">
        <f>M5/R5</f>
        <v>12.492298657169625</v>
      </c>
      <c r="U5" s="4">
        <f t="shared" si="8"/>
        <v>1.1314949638691953</v>
      </c>
      <c r="V5" s="8">
        <f>SUM($T$2:T5)</f>
        <v>26.25322497121104</v>
      </c>
      <c r="W5" s="4">
        <f>SQRT((U5^2)+(U4^2)+(U3^2)+(U2^2))</f>
        <v>1.9321901231581688</v>
      </c>
      <c r="X5" s="8">
        <f t="shared" si="9"/>
        <v>0.17645371853252098</v>
      </c>
      <c r="Y5" s="4">
        <f t="shared" si="10"/>
        <v>1.5982339241416378E-2</v>
      </c>
      <c r="Z5" s="4">
        <f t="shared" si="11"/>
        <v>2.5543516762771784E-4</v>
      </c>
      <c r="AA5" s="8">
        <f>(C5-$AE$6)*24</f>
        <v>211.23333333333721</v>
      </c>
      <c r="AB5" s="16">
        <f t="shared" si="12"/>
        <v>0.99941981659323387</v>
      </c>
      <c r="AC5" s="8">
        <f t="shared" si="13"/>
        <v>0.17655615348313436</v>
      </c>
    </row>
    <row r="6" spans="1:31" x14ac:dyDescent="0.25">
      <c r="A6" s="29" t="s">
        <v>16</v>
      </c>
      <c r="B6" s="26">
        <v>43319.615277546298</v>
      </c>
      <c r="C6" s="12">
        <v>43321.324305555558</v>
      </c>
      <c r="D6" s="13">
        <v>116.83</v>
      </c>
      <c r="E6" s="14">
        <v>1.71</v>
      </c>
      <c r="F6" s="4">
        <f t="shared" si="3"/>
        <v>1.9977930000000002</v>
      </c>
      <c r="G6" s="8">
        <f t="shared" si="0"/>
        <v>109.06</v>
      </c>
      <c r="H6" s="4">
        <f t="shared" si="14"/>
        <v>2.224595918827732</v>
      </c>
      <c r="I6" s="15">
        <f t="shared" si="4"/>
        <v>41.016672222234774</v>
      </c>
      <c r="J6" s="7">
        <f t="shared" si="5"/>
        <v>1.6666666666666666E-2</v>
      </c>
      <c r="K6" s="8">
        <f>1-EXP(-$AE$3*I6)</f>
        <v>0.37063187341934289</v>
      </c>
      <c r="L6" s="4">
        <f t="shared" si="6"/>
        <v>1.5060212239679887E-4</v>
      </c>
      <c r="M6" s="8">
        <f>G6/((1+K6))</f>
        <v>79.5691404198312</v>
      </c>
      <c r="N6" s="4">
        <f t="shared" si="1"/>
        <v>1.6233660636985856</v>
      </c>
      <c r="O6" s="8">
        <f>M6*K6</f>
        <v>29.490859580168799</v>
      </c>
      <c r="P6" s="4">
        <f t="shared" si="2"/>
        <v>0.60179052707905856</v>
      </c>
      <c r="Q6" s="8">
        <f t="shared" si="7"/>
        <v>109.06</v>
      </c>
      <c r="R6" s="8">
        <v>0.85160000000000036</v>
      </c>
      <c r="S6" s="4">
        <v>1.4142135623730951E-4</v>
      </c>
      <c r="T6" s="8">
        <f>M6/R6</f>
        <v>93.43487602140813</v>
      </c>
      <c r="U6" s="4">
        <f t="shared" si="8"/>
        <v>1.9063173325812415</v>
      </c>
      <c r="V6" s="8">
        <f>SUM($T$2:T6)</f>
        <v>119.68810099261917</v>
      </c>
      <c r="W6" s="4">
        <f>SQRT((U6^2)+(U5^2)+(U4^2)+(U3^2)+(U2^2))</f>
        <v>2.7142963074302773</v>
      </c>
      <c r="X6" s="8">
        <f t="shared" si="9"/>
        <v>1.32615234033052</v>
      </c>
      <c r="Y6" s="4">
        <f t="shared" si="10"/>
        <v>2.7056101061643096E-2</v>
      </c>
      <c r="Z6" s="4">
        <f t="shared" si="11"/>
        <v>7.3203260465784471E-4</v>
      </c>
      <c r="AA6" s="8">
        <f>(C6-$AE$6)*24</f>
        <v>211.78333333338378</v>
      </c>
      <c r="AB6" s="16">
        <f t="shared" si="12"/>
        <v>0.99941830637682405</v>
      </c>
      <c r="AC6" s="8">
        <f t="shared" si="13"/>
        <v>1.3269242036782374</v>
      </c>
      <c r="AE6" s="1">
        <v>43312.5</v>
      </c>
    </row>
    <row r="7" spans="1:31" x14ac:dyDescent="0.25">
      <c r="A7" s="29" t="s">
        <v>17</v>
      </c>
      <c r="B7" s="26">
        <v>43319.61545109954</v>
      </c>
      <c r="C7" s="12">
        <v>43321.347222222219</v>
      </c>
      <c r="D7" s="13">
        <v>240.83</v>
      </c>
      <c r="E7" s="14">
        <v>1.19</v>
      </c>
      <c r="F7" s="4">
        <f t="shared" si="3"/>
        <v>2.8658769999999998</v>
      </c>
      <c r="G7" s="8">
        <f t="shared" si="0"/>
        <v>233.06</v>
      </c>
      <c r="H7" s="4">
        <f t="shared" si="14"/>
        <v>3.0283495687164321</v>
      </c>
      <c r="I7" s="15">
        <f t="shared" si="4"/>
        <v>41.562506944290362</v>
      </c>
      <c r="J7" s="7">
        <f t="shared" si="5"/>
        <v>1.6666666666666666E-2</v>
      </c>
      <c r="K7" s="8">
        <f>1-EXP(-$AE$3*I7)</f>
        <v>0.37449808511360261</v>
      </c>
      <c r="L7" s="4">
        <f t="shared" si="6"/>
        <v>1.5017464563096619E-4</v>
      </c>
      <c r="M7" s="8">
        <f>G7/((1+K7))</f>
        <v>169.56007616462961</v>
      </c>
      <c r="N7" s="4">
        <f t="shared" si="1"/>
        <v>2.2042892253840729</v>
      </c>
      <c r="O7" s="8">
        <f>M7*K7</f>
        <v>63.499923835370396</v>
      </c>
      <c r="P7" s="4">
        <f t="shared" si="2"/>
        <v>0.82589472892686533</v>
      </c>
      <c r="Q7" s="8">
        <f t="shared" si="7"/>
        <v>233.06</v>
      </c>
      <c r="R7" s="8">
        <v>0.81799999999999962</v>
      </c>
      <c r="S7" s="4">
        <v>1.4142135623730951E-4</v>
      </c>
      <c r="T7" s="8">
        <f>M7/R7</f>
        <v>207.28615668047638</v>
      </c>
      <c r="U7" s="4">
        <f t="shared" si="8"/>
        <v>2.6949683909240782</v>
      </c>
      <c r="V7" s="8">
        <f>SUM($T$2:T7)</f>
        <v>326.97425767309556</v>
      </c>
      <c r="W7" s="4">
        <f>SQRT((U7^2)+(U6^2)+(U5^2)+(U4^2)+(U3^2)+(U2^2))</f>
        <v>3.8249521660550942</v>
      </c>
      <c r="X7" s="8">
        <f t="shared" si="9"/>
        <v>2.8260012694104932</v>
      </c>
      <c r="Y7" s="4">
        <f t="shared" si="10"/>
        <v>3.6738153756401208E-2</v>
      </c>
      <c r="Z7" s="4">
        <f t="shared" si="11"/>
        <v>1.3496919414289761E-3</v>
      </c>
      <c r="AA7" s="8">
        <f>(C7-$AE$6)*24</f>
        <v>212.33333333325572</v>
      </c>
      <c r="AB7" s="16">
        <f t="shared" si="12"/>
        <v>0.99941679616269685</v>
      </c>
      <c r="AC7" s="8">
        <f t="shared" si="13"/>
        <v>2.8276503659544696</v>
      </c>
    </row>
    <row r="8" spans="1:31" x14ac:dyDescent="0.25">
      <c r="A8" s="29" t="s">
        <v>18</v>
      </c>
      <c r="B8" s="26">
        <v>43319.615624652775</v>
      </c>
      <c r="C8" s="12">
        <v>43321.370138888888</v>
      </c>
      <c r="D8" s="13">
        <v>268.43</v>
      </c>
      <c r="E8" s="14">
        <v>1.1299999999999999</v>
      </c>
      <c r="F8" s="4">
        <f t="shared" si="3"/>
        <v>3.0332589999999997</v>
      </c>
      <c r="G8" s="8">
        <f t="shared" si="0"/>
        <v>260.66000000000003</v>
      </c>
      <c r="H8" s="4">
        <f t="shared" si="14"/>
        <v>3.1872104248538404</v>
      </c>
      <c r="I8" s="15">
        <f t="shared" si="4"/>
        <v>42.108341666695196</v>
      </c>
      <c r="J8" s="7">
        <f t="shared" si="5"/>
        <v>1.6666666666666666E-2</v>
      </c>
      <c r="K8" s="8">
        <f>1-EXP(-$AE$3*I8)</f>
        <v>0.37834054665164862</v>
      </c>
      <c r="L8" s="4">
        <f t="shared" si="6"/>
        <v>1.4974885089133854E-4</v>
      </c>
      <c r="M8" s="8">
        <f>G8/((1+K8))</f>
        <v>189.11146496648573</v>
      </c>
      <c r="N8" s="4">
        <f t="shared" si="1"/>
        <v>2.3135645352115914</v>
      </c>
      <c r="O8" s="8">
        <f>M8*K8</f>
        <v>71.548535033514312</v>
      </c>
      <c r="P8" s="4">
        <f t="shared" si="2"/>
        <v>0.87577325950622864</v>
      </c>
      <c r="Q8" s="8">
        <f t="shared" si="7"/>
        <v>260.66000000000003</v>
      </c>
      <c r="R8" s="8">
        <v>0.81990000000000052</v>
      </c>
      <c r="S8" s="4">
        <v>1.4142135623730951E-4</v>
      </c>
      <c r="T8" s="8">
        <f>M8/R8</f>
        <v>230.65186604035321</v>
      </c>
      <c r="U8" s="4">
        <f t="shared" si="8"/>
        <v>2.8220447288810004</v>
      </c>
      <c r="V8" s="8">
        <f>SUM($T$2:T8)</f>
        <v>557.62612371344881</v>
      </c>
      <c r="W8" s="4">
        <f>SQRT((U8^2)+(U7^2)+(U6^2)+(U5^2)+(U4^2)+(U3^2)+(U2^2))</f>
        <v>4.7533352000899951</v>
      </c>
      <c r="X8" s="8">
        <f t="shared" si="9"/>
        <v>3.1518577494414286</v>
      </c>
      <c r="Y8" s="4">
        <f t="shared" si="10"/>
        <v>3.8559408920193189E-2</v>
      </c>
      <c r="Z8" s="4">
        <f t="shared" si="11"/>
        <v>1.486828016274674E-3</v>
      </c>
      <c r="AA8" s="8">
        <f>(C8-$AE$6)*24</f>
        <v>212.88333333330229</v>
      </c>
      <c r="AB8" s="16">
        <f t="shared" si="12"/>
        <v>0.99941528595085116</v>
      </c>
      <c r="AC8" s="8">
        <f t="shared" si="13"/>
        <v>3.1537017631691793</v>
      </c>
      <c r="AE8" t="s">
        <v>36</v>
      </c>
    </row>
    <row r="9" spans="1:31" x14ac:dyDescent="0.25">
      <c r="A9" s="29" t="s">
        <v>19</v>
      </c>
      <c r="B9" s="26">
        <v>43319.615798206018</v>
      </c>
      <c r="C9" s="12">
        <v>43321.393055555556</v>
      </c>
      <c r="D9" s="13">
        <v>236.77</v>
      </c>
      <c r="E9" s="14">
        <v>1.2</v>
      </c>
      <c r="F9" s="4">
        <f t="shared" si="3"/>
        <v>2.84124</v>
      </c>
      <c r="G9" s="8">
        <f t="shared" si="0"/>
        <v>229</v>
      </c>
      <c r="H9" s="4">
        <f t="shared" si="14"/>
        <v>3.0050449029616844</v>
      </c>
      <c r="I9" s="15">
        <f t="shared" si="4"/>
        <v>42.654176388925407</v>
      </c>
      <c r="J9" s="7">
        <f t="shared" si="5"/>
        <v>1.6666666666666666E-2</v>
      </c>
      <c r="K9" s="8">
        <f>1-EXP(-$AE$3*I9)</f>
        <v>0.38215940392713066</v>
      </c>
      <c r="L9" s="4">
        <f t="shared" si="6"/>
        <v>1.493247306127618E-4</v>
      </c>
      <c r="M9" s="8">
        <f>G9/((1+K9))</f>
        <v>165.68277099540194</v>
      </c>
      <c r="N9" s="4">
        <f t="shared" si="1"/>
        <v>2.1751302952295704</v>
      </c>
      <c r="O9" s="8">
        <f>M9*K9</f>
        <v>63.317229004598097</v>
      </c>
      <c r="P9" s="4">
        <f t="shared" si="2"/>
        <v>0.83161459402879334</v>
      </c>
      <c r="Q9" s="8">
        <f t="shared" si="7"/>
        <v>229.00000000000003</v>
      </c>
      <c r="R9" s="8">
        <v>0.80330000000000013</v>
      </c>
      <c r="S9" s="4">
        <v>1.4142135623730951E-4</v>
      </c>
      <c r="T9" s="8">
        <f>M9/R9</f>
        <v>206.2526714744204</v>
      </c>
      <c r="U9" s="4">
        <f t="shared" si="8"/>
        <v>2.707986881221125</v>
      </c>
      <c r="V9" s="8">
        <f>SUM($T$2:T9)</f>
        <v>763.87879518786917</v>
      </c>
      <c r="W9" s="4">
        <f>SQRT((U9^2)+(U8^2)+(U7^2)+(U6^2)+(U5^2)+(U4^2)+(U3^2)+(U2^2))</f>
        <v>5.4705930641275362</v>
      </c>
      <c r="X9" s="8">
        <f t="shared" si="9"/>
        <v>2.7613795165900323</v>
      </c>
      <c r="Y9" s="4">
        <f t="shared" si="10"/>
        <v>3.6252171587159508E-2</v>
      </c>
      <c r="Z9" s="4">
        <f t="shared" si="11"/>
        <v>1.3142199447848551E-3</v>
      </c>
      <c r="AA9" s="8">
        <f>(C9-$AE$6)*24</f>
        <v>213.43333333334886</v>
      </c>
      <c r="AB9" s="16">
        <f t="shared" si="12"/>
        <v>0.99941377574128754</v>
      </c>
      <c r="AC9" s="8">
        <f t="shared" si="13"/>
        <v>2.7629992537794021</v>
      </c>
      <c r="AE9">
        <f>LN(2)/252288</f>
        <v>2.7474441137110973E-6</v>
      </c>
    </row>
    <row r="10" spans="1:31" x14ac:dyDescent="0.25">
      <c r="A10" s="29" t="s">
        <v>20</v>
      </c>
      <c r="B10" s="26">
        <v>43319.61597175926</v>
      </c>
      <c r="C10" s="12">
        <v>43321.414583333331</v>
      </c>
      <c r="D10" s="13">
        <v>206.29</v>
      </c>
      <c r="E10" s="14">
        <v>1.29</v>
      </c>
      <c r="F10" s="4">
        <f t="shared" si="3"/>
        <v>2.6611409999999998</v>
      </c>
      <c r="G10" s="8">
        <f t="shared" si="0"/>
        <v>198.51999999999998</v>
      </c>
      <c r="H10" s="4">
        <f t="shared" si="14"/>
        <v>2.8353697383404866</v>
      </c>
      <c r="I10" s="15">
        <f t="shared" si="4"/>
        <v>43.16667777771363</v>
      </c>
      <c r="J10" s="7">
        <f t="shared" si="5"/>
        <v>1.6666666666666666E-2</v>
      </c>
      <c r="K10" s="8">
        <f>1-EXP(-$AE$3*I10)</f>
        <v>0.38572369239265392</v>
      </c>
      <c r="L10" s="4">
        <f t="shared" si="6"/>
        <v>1.4892802822697875E-4</v>
      </c>
      <c r="M10" s="8">
        <f>G10/((1+K10))</f>
        <v>143.26088316872628</v>
      </c>
      <c r="N10" s="4">
        <f t="shared" si="1"/>
        <v>2.0468767236652572</v>
      </c>
      <c r="O10" s="8">
        <f>M10*K10</f>
        <v>55.259116831273708</v>
      </c>
      <c r="P10" s="4">
        <f t="shared" si="2"/>
        <v>0.78981707220497743</v>
      </c>
      <c r="Q10" s="8">
        <f t="shared" si="7"/>
        <v>198.51999999999998</v>
      </c>
      <c r="R10" s="8">
        <v>0.84970000000000034</v>
      </c>
      <c r="S10" s="4">
        <v>1.4142135623730951E-4</v>
      </c>
      <c r="T10" s="8">
        <f>M10/R10</f>
        <v>168.60172198273062</v>
      </c>
      <c r="U10" s="4">
        <f t="shared" si="8"/>
        <v>2.4091039150208049</v>
      </c>
      <c r="V10" s="8">
        <f>SUM($T$2:T10)</f>
        <v>932.4805171705998</v>
      </c>
      <c r="W10" s="4">
        <f>SQRT((U10^2)+(U9^2)+(U8^2)+(U7^2)+(U6^2)+(U5^2)+(U4^2)+(U3^2)+(U2^2))</f>
        <v>5.9775555327114178</v>
      </c>
      <c r="X10" s="8">
        <f t="shared" si="9"/>
        <v>2.387681386145438</v>
      </c>
      <c r="Y10" s="4">
        <f t="shared" si="10"/>
        <v>3.4114612061087624E-2</v>
      </c>
      <c r="Z10" s="4">
        <f t="shared" si="11"/>
        <v>1.1638067560785052E-3</v>
      </c>
      <c r="AA10" s="8">
        <f>(C10-$AE$6)*24</f>
        <v>213.94999999995343</v>
      </c>
      <c r="AB10" s="16">
        <f t="shared" si="12"/>
        <v>0.99941235706165543</v>
      </c>
      <c r="AC10" s="8">
        <f t="shared" si="13"/>
        <v>2.3890853152600533</v>
      </c>
    </row>
    <row r="11" spans="1:31" x14ac:dyDescent="0.25">
      <c r="A11" s="29" t="s">
        <v>21</v>
      </c>
      <c r="B11" s="26">
        <v>43319.616145312502</v>
      </c>
      <c r="C11" s="12">
        <v>43321.4375</v>
      </c>
      <c r="D11" s="13">
        <v>150.06</v>
      </c>
      <c r="E11" s="14">
        <v>1.51</v>
      </c>
      <c r="F11" s="4">
        <f t="shared" si="3"/>
        <v>2.2659060000000002</v>
      </c>
      <c r="G11" s="8">
        <f t="shared" si="0"/>
        <v>142.29</v>
      </c>
      <c r="H11" s="4">
        <f t="shared" si="14"/>
        <v>2.4681936982441228</v>
      </c>
      <c r="I11" s="15">
        <f t="shared" si="4"/>
        <v>43.712512499943841</v>
      </c>
      <c r="J11" s="7">
        <f t="shared" si="5"/>
        <v>1.6666666666666666E-2</v>
      </c>
      <c r="K11" s="8">
        <f>1-EXP(-$AE$3*I11)</f>
        <v>0.38949719496520807</v>
      </c>
      <c r="L11" s="4">
        <f t="shared" si="6"/>
        <v>1.4850713319430314E-4</v>
      </c>
      <c r="M11" s="8">
        <f>G11/((1+K11))</f>
        <v>102.40394907998561</v>
      </c>
      <c r="N11" s="4">
        <f t="shared" si="1"/>
        <v>1.7767505261591661</v>
      </c>
      <c r="O11" s="8">
        <f>M11*K11</f>
        <v>39.886050920014391</v>
      </c>
      <c r="P11" s="4">
        <f t="shared" si="2"/>
        <v>0.69220642238631358</v>
      </c>
      <c r="Q11" s="8">
        <f t="shared" si="7"/>
        <v>142.29</v>
      </c>
      <c r="R11" s="8">
        <v>0.80569999999999986</v>
      </c>
      <c r="S11" s="4">
        <v>1.4142135623730951E-4</v>
      </c>
      <c r="T11" s="8">
        <f>M11/R11</f>
        <v>127.09935345660374</v>
      </c>
      <c r="U11" s="4">
        <f t="shared" si="8"/>
        <v>2.2053387662915274</v>
      </c>
      <c r="V11" s="8">
        <f>SUM($T$2:T11)</f>
        <v>1059.5798706272035</v>
      </c>
      <c r="W11" s="4">
        <f>SQRT((U11^2)+(U10^2)+(U9^2)+(U8^2)+(U7^2)+(U6^2)+(U5^2)+(U4^2)+(U3^2)+(U2^2))</f>
        <v>6.3713961751532233</v>
      </c>
      <c r="X11" s="8">
        <f t="shared" si="9"/>
        <v>1.7067324846664269</v>
      </c>
      <c r="Y11" s="4">
        <f t="shared" si="10"/>
        <v>2.9612508769319437E-2</v>
      </c>
      <c r="Z11" s="4">
        <f t="shared" si="11"/>
        <v>8.7690067561302062E-4</v>
      </c>
      <c r="AA11" s="8">
        <f>(C11-$AE$6)*24</f>
        <v>214.5</v>
      </c>
      <c r="AB11" s="16">
        <f t="shared" si="12"/>
        <v>0.9994108468565176</v>
      </c>
      <c r="AC11" s="8">
        <f t="shared" si="13"/>
        <v>1.7077386042333573</v>
      </c>
    </row>
    <row r="12" spans="1:31" x14ac:dyDescent="0.25">
      <c r="A12" s="29" t="s">
        <v>22</v>
      </c>
      <c r="B12" s="26">
        <v>43319.616318865737</v>
      </c>
      <c r="C12" s="12">
        <v>43321.460416724534</v>
      </c>
      <c r="D12" s="13">
        <v>114.54</v>
      </c>
      <c r="E12" s="14">
        <v>1.73</v>
      </c>
      <c r="F12" s="4">
        <f t="shared" si="3"/>
        <v>1.9815420000000001</v>
      </c>
      <c r="G12" s="8">
        <f t="shared" si="0"/>
        <v>106.77000000000001</v>
      </c>
      <c r="H12" s="4">
        <f t="shared" si="14"/>
        <v>2.2100133096839034</v>
      </c>
      <c r="I12" s="15">
        <f t="shared" si="4"/>
        <v>44.258348611125257</v>
      </c>
      <c r="J12" s="7">
        <f t="shared" si="5"/>
        <v>1.6666666666666666E-2</v>
      </c>
      <c r="K12" s="8">
        <f>1-EXP(-$AE$3*I12)</f>
        <v>0.39324752640554517</v>
      </c>
      <c r="L12" s="4">
        <f t="shared" si="6"/>
        <v>1.4808788953424494E-4</v>
      </c>
      <c r="M12" s="8">
        <f>G12/((1+K12))</f>
        <v>76.633906019167412</v>
      </c>
      <c r="N12" s="4">
        <f t="shared" si="1"/>
        <v>1.5864941329245417</v>
      </c>
      <c r="O12" s="8">
        <f>M12*K12</f>
        <v>30.136093980832605</v>
      </c>
      <c r="P12" s="4">
        <f t="shared" si="2"/>
        <v>0.62398810077917477</v>
      </c>
      <c r="Q12" s="8">
        <f t="shared" si="7"/>
        <v>106.77000000000001</v>
      </c>
      <c r="R12" s="8">
        <v>0.77840000000000042</v>
      </c>
      <c r="S12" s="4">
        <v>1.4142135623730951E-4</v>
      </c>
      <c r="T12" s="8">
        <f>M12/R12</f>
        <v>98.450547301088605</v>
      </c>
      <c r="U12" s="4">
        <f t="shared" si="8"/>
        <v>2.0382261377712729</v>
      </c>
      <c r="V12" s="8">
        <f>SUM($T$2:T12)</f>
        <v>1158.0304179282921</v>
      </c>
      <c r="W12" s="4">
        <f>SQRT((U12^2)+(U11^2)+(U10^2)+(U9^2)+(U8^2)+(U7^2)+(U6^2)+(U5^2)+(U4^2)+(U3^2)+(U2^2))</f>
        <v>6.6894734478470816</v>
      </c>
      <c r="X12" s="8">
        <f t="shared" si="9"/>
        <v>1.2772317669861235</v>
      </c>
      <c r="Y12" s="4">
        <f t="shared" si="10"/>
        <v>2.6441568882075692E-2</v>
      </c>
      <c r="Z12" s="4">
        <f t="shared" si="11"/>
        <v>6.9915656494555359E-4</v>
      </c>
      <c r="AA12" s="8">
        <f>(C12-$AE$6)*24</f>
        <v>215.05000138882315</v>
      </c>
      <c r="AB12" s="16">
        <f t="shared" si="12"/>
        <v>0.99940933664984866</v>
      </c>
      <c r="AC12" s="8">
        <f t="shared" si="13"/>
        <v>1.2779866268485864</v>
      </c>
    </row>
    <row r="13" spans="1:31" x14ac:dyDescent="0.25">
      <c r="A13" s="29" t="s">
        <v>23</v>
      </c>
      <c r="B13" s="26">
        <v>43319.61649241898</v>
      </c>
      <c r="C13" s="12">
        <v>43321.483333449076</v>
      </c>
      <c r="D13" s="13">
        <v>90.55</v>
      </c>
      <c r="E13" s="14">
        <v>1.94</v>
      </c>
      <c r="F13" s="4">
        <f t="shared" si="3"/>
        <v>1.75667</v>
      </c>
      <c r="G13" s="8">
        <f t="shared" si="0"/>
        <v>82.78</v>
      </c>
      <c r="H13" s="4">
        <f t="shared" si="14"/>
        <v>2.0108554448582328</v>
      </c>
      <c r="I13" s="15">
        <f t="shared" si="4"/>
        <v>44.804184722306672</v>
      </c>
      <c r="J13" s="7">
        <f t="shared" si="5"/>
        <v>1.6666666666666666E-2</v>
      </c>
      <c r="K13" s="8">
        <f>1-EXP(-$AE$3*I13)</f>
        <v>0.3969748194817726</v>
      </c>
      <c r="L13" s="4">
        <f t="shared" si="6"/>
        <v>1.476702908973778E-4</v>
      </c>
      <c r="M13" s="8">
        <f>G13/((1+K13))</f>
        <v>59.25661568524793</v>
      </c>
      <c r="N13" s="4">
        <f t="shared" si="1"/>
        <v>1.4396044791891234</v>
      </c>
      <c r="O13" s="8">
        <f>M13*K13</f>
        <v>23.523384314752072</v>
      </c>
      <c r="P13" s="4">
        <f t="shared" si="2"/>
        <v>0.57155371645790587</v>
      </c>
      <c r="Q13" s="8">
        <f t="shared" si="7"/>
        <v>82.78</v>
      </c>
      <c r="R13" s="8">
        <v>0.82679999999999954</v>
      </c>
      <c r="S13" s="4">
        <v>1.4142135623730951E-4</v>
      </c>
      <c r="T13" s="8">
        <f>M13/R13</f>
        <v>71.669830291785146</v>
      </c>
      <c r="U13" s="4">
        <f t="shared" si="8"/>
        <v>1.7412193506706837</v>
      </c>
      <c r="V13" s="8">
        <f>SUM($T$2:T13)</f>
        <v>1229.7002482200771</v>
      </c>
      <c r="W13" s="4">
        <f>SQRT((U13^2)+(U12^2)+(U11^2)+(U10^2)+(U9^2)+(U8^2)+(U7^2)+(U6^2)+(U5^2)+(U4^2)+(U3^2)+(U2^2))</f>
        <v>6.9123729526553435</v>
      </c>
      <c r="X13" s="8">
        <f t="shared" si="9"/>
        <v>0.98761026142079877</v>
      </c>
      <c r="Y13" s="4">
        <f t="shared" si="10"/>
        <v>2.3993407986485388E-2</v>
      </c>
      <c r="Z13" s="4">
        <f t="shared" si="11"/>
        <v>5.7568362680594082E-4</v>
      </c>
      <c r="AA13" s="8">
        <f>(C13-$AE$6)*24</f>
        <v>215.60000277782092</v>
      </c>
      <c r="AB13" s="16">
        <f t="shared" si="12"/>
        <v>0.99940782644546111</v>
      </c>
      <c r="AC13" s="8">
        <f t="shared" si="13"/>
        <v>0.98819544462982434</v>
      </c>
    </row>
    <row r="14" spans="1:31" x14ac:dyDescent="0.25">
      <c r="A14" s="29" t="s">
        <v>24</v>
      </c>
      <c r="B14" s="26">
        <v>43319.616665972222</v>
      </c>
      <c r="C14" s="12">
        <v>43321.50625017361</v>
      </c>
      <c r="D14" s="13">
        <v>63.29</v>
      </c>
      <c r="E14" s="14">
        <v>2.3199999999999998</v>
      </c>
      <c r="F14" s="4">
        <f t="shared" si="3"/>
        <v>1.4683279999999999</v>
      </c>
      <c r="G14" s="8">
        <f t="shared" si="0"/>
        <v>55.519999999999996</v>
      </c>
      <c r="H14" s="4">
        <f t="shared" si="14"/>
        <v>1.7645501542319502</v>
      </c>
      <c r="I14" s="15">
        <f t="shared" si="4"/>
        <v>45.350020833313465</v>
      </c>
      <c r="J14" s="7">
        <f t="shared" si="5"/>
        <v>1.6666666666666666E-2</v>
      </c>
      <c r="K14" s="8">
        <f>1-EXP(-$AE$3*I14)</f>
        <v>0.40067921571785914</v>
      </c>
      <c r="L14" s="4">
        <f t="shared" si="6"/>
        <v>1.472543298971416E-4</v>
      </c>
      <c r="M14" s="8">
        <f>G14/((1+K14))</f>
        <v>39.637912362071823</v>
      </c>
      <c r="N14" s="4">
        <f t="shared" si="1"/>
        <v>1.2598660007769085</v>
      </c>
      <c r="O14" s="8">
        <f>M14*K14</f>
        <v>15.882087637928171</v>
      </c>
      <c r="P14" s="4">
        <f t="shared" si="2"/>
        <v>0.50483586474732578</v>
      </c>
      <c r="Q14" s="8">
        <f t="shared" si="7"/>
        <v>55.519999999999996</v>
      </c>
      <c r="R14" s="8">
        <v>0.79679999999999929</v>
      </c>
      <c r="S14" s="4">
        <v>1.4142135623730951E-4</v>
      </c>
      <c r="T14" s="8">
        <f>M14/R14</f>
        <v>49.746375956415484</v>
      </c>
      <c r="U14" s="4">
        <f t="shared" si="8"/>
        <v>1.5811817811297486</v>
      </c>
      <c r="V14" s="8">
        <f>SUM($T$2:T14)</f>
        <v>1279.4466241764926</v>
      </c>
      <c r="W14" s="4">
        <f>SQRT((U14^2)+(U13^2)+(U12^2)+(U11^2)+(U10^2)+(U9^2)+(U8^2)+(U7^2)+(U6^2)+(U5^2)+(U4^2)+(U3^2)+(U2^2))</f>
        <v>7.0909121882574313</v>
      </c>
      <c r="X14" s="8">
        <f t="shared" si="9"/>
        <v>0.66063187270119705</v>
      </c>
      <c r="Y14" s="4">
        <f t="shared" si="10"/>
        <v>2.0997766679615143E-2</v>
      </c>
      <c r="Z14" s="4">
        <f t="shared" si="11"/>
        <v>4.4090620553155594E-4</v>
      </c>
      <c r="AA14" s="8">
        <f>(C14-$AE$6)*24</f>
        <v>216.15000416664407</v>
      </c>
      <c r="AB14" s="16">
        <f t="shared" si="12"/>
        <v>0.9994063162433563</v>
      </c>
      <c r="AC14" s="8">
        <f t="shared" si="13"/>
        <v>0.66102431209803625</v>
      </c>
    </row>
    <row r="15" spans="1:31" x14ac:dyDescent="0.25">
      <c r="A15" s="29" t="s">
        <v>25</v>
      </c>
      <c r="B15" s="26">
        <v>43319.616839525464</v>
      </c>
      <c r="C15" s="12">
        <v>43321.529166898152</v>
      </c>
      <c r="D15" s="13">
        <v>51.21</v>
      </c>
      <c r="E15" s="14">
        <v>2.58</v>
      </c>
      <c r="F15" s="4">
        <f t="shared" si="3"/>
        <v>1.321218</v>
      </c>
      <c r="G15" s="8">
        <f t="shared" si="0"/>
        <v>43.44</v>
      </c>
      <c r="H15" s="4">
        <f t="shared" si="14"/>
        <v>1.644161529394238</v>
      </c>
      <c r="I15" s="15">
        <f t="shared" si="4"/>
        <v>45.895856944494881</v>
      </c>
      <c r="J15" s="7">
        <f t="shared" si="5"/>
        <v>1.6666666666666666E-2</v>
      </c>
      <c r="K15" s="8">
        <f>1-EXP(-$AE$3*I15)</f>
        <v>0.40436085577193337</v>
      </c>
      <c r="L15" s="4">
        <f t="shared" si="6"/>
        <v>1.4683999918226303E-4</v>
      </c>
      <c r="M15" s="8">
        <f>G15/((1+K15))</f>
        <v>30.932220747581564</v>
      </c>
      <c r="N15" s="4">
        <f t="shared" si="1"/>
        <v>1.1708081982367444</v>
      </c>
      <c r="O15" s="8">
        <f>M15*K15</f>
        <v>12.507779252418434</v>
      </c>
      <c r="P15" s="4">
        <f t="shared" si="2"/>
        <v>0.47345079292014902</v>
      </c>
      <c r="Q15" s="8">
        <f t="shared" si="7"/>
        <v>43.44</v>
      </c>
      <c r="R15" s="8">
        <v>0.8219000000000003</v>
      </c>
      <c r="S15" s="4">
        <v>1.4142135623730951E-4</v>
      </c>
      <c r="T15" s="8">
        <f>M15/R15</f>
        <v>37.635017334933146</v>
      </c>
      <c r="U15" s="4">
        <f t="shared" si="8"/>
        <v>1.424528891293076</v>
      </c>
      <c r="V15" s="8">
        <f>SUM($T$2:T15)</f>
        <v>1317.0816415114257</v>
      </c>
      <c r="W15" s="4">
        <f>SQRT((U15^2)+(U14^2)+(U13^2)+(U12^2)+(U11^2)+(U10^2)+(U9^2)+(U8^2)+(U7^2)+(U6^2)+(U5^2)+(U4^2)+(U3^2)+(U2^2))</f>
        <v>7.2325872427303963</v>
      </c>
      <c r="X15" s="8">
        <f t="shared" si="9"/>
        <v>0.51553701245969275</v>
      </c>
      <c r="Y15" s="4">
        <f t="shared" si="10"/>
        <v>1.9513469970612408E-2</v>
      </c>
      <c r="Z15" s="4">
        <f t="shared" si="11"/>
        <v>3.8077551029399226E-4</v>
      </c>
      <c r="AA15" s="8">
        <f>(C15-$AE$6)*24</f>
        <v>216.70000555564184</v>
      </c>
      <c r="AB15" s="16">
        <f t="shared" si="12"/>
        <v>0.99940480604353288</v>
      </c>
      <c r="AC15" s="8">
        <f t="shared" si="13"/>
        <v>0.51584403971461046</v>
      </c>
    </row>
    <row r="16" spans="1:31" x14ac:dyDescent="0.25">
      <c r="A16" s="29" t="s">
        <v>26</v>
      </c>
      <c r="B16" s="26">
        <v>43319.617013078707</v>
      </c>
      <c r="C16" s="12">
        <v>43321.552083622686</v>
      </c>
      <c r="D16" s="13">
        <v>35.17</v>
      </c>
      <c r="E16" s="14">
        <v>3.11</v>
      </c>
      <c r="F16" s="4">
        <f t="shared" si="3"/>
        <v>1.0937870000000001</v>
      </c>
      <c r="G16" s="8">
        <f t="shared" si="0"/>
        <v>27.400000000000002</v>
      </c>
      <c r="H16" s="4">
        <f t="shared" si="14"/>
        <v>1.4676580434777715</v>
      </c>
      <c r="I16" s="15">
        <f t="shared" si="4"/>
        <v>46.441693055501673</v>
      </c>
      <c r="J16" s="7">
        <f t="shared" si="5"/>
        <v>1.6666666666666666E-2</v>
      </c>
      <c r="K16" s="8">
        <f>1-EXP(-$AE$3*I16)</f>
        <v>0.40801987943334683</v>
      </c>
      <c r="L16" s="4">
        <f t="shared" si="6"/>
        <v>1.4642729143750539E-4</v>
      </c>
      <c r="M16" s="8">
        <f>G16/((1+K16))</f>
        <v>19.459952519297556</v>
      </c>
      <c r="N16" s="4">
        <f t="shared" si="1"/>
        <v>1.042379447090845</v>
      </c>
      <c r="O16" s="8">
        <f>M16*K16</f>
        <v>7.9400474807024422</v>
      </c>
      <c r="P16" s="4">
        <f t="shared" si="2"/>
        <v>0.42532108153780879</v>
      </c>
      <c r="Q16" s="8">
        <f t="shared" si="7"/>
        <v>27.4</v>
      </c>
      <c r="R16" s="8">
        <v>0.82459999999999933</v>
      </c>
      <c r="S16" s="4">
        <v>1.4142135623730951E-4</v>
      </c>
      <c r="T16" s="8">
        <f>M16/R16</f>
        <v>23.599263302567998</v>
      </c>
      <c r="U16" s="4">
        <f t="shared" si="8"/>
        <v>1.2641096166667651</v>
      </c>
      <c r="V16" s="8">
        <f>SUM($T$2:T16)</f>
        <v>1340.6809048139937</v>
      </c>
      <c r="W16" s="4">
        <f>SQRT((U16^2)+(U15^2)+(U14^2)+(U13^2)+(U12^2)+(U11^2)+(U10^2)+(U9^2)+(U8^2)+(U7^2)+(U6^2)+(U5^2)+(U4^2)+(U3^2)+(U2^2))</f>
        <v>7.3422265932519322</v>
      </c>
      <c r="X16" s="8">
        <f t="shared" si="9"/>
        <v>0.32433254198829259</v>
      </c>
      <c r="Y16" s="4">
        <f t="shared" si="10"/>
        <v>1.7372990784847414E-2</v>
      </c>
      <c r="Z16" s="4">
        <f t="shared" si="11"/>
        <v>3.0182080881039318E-4</v>
      </c>
      <c r="AA16" s="8">
        <f>(C16-$AE$6)*24</f>
        <v>217.25000694446499</v>
      </c>
      <c r="AB16" s="16">
        <f t="shared" si="12"/>
        <v>0.99940329584599219</v>
      </c>
      <c r="AC16" s="8">
        <f t="shared" si="13"/>
        <v>0.32452618811282385</v>
      </c>
    </row>
    <row r="17" spans="1:29" x14ac:dyDescent="0.25">
      <c r="A17" s="29" t="s">
        <v>27</v>
      </c>
      <c r="B17" s="26">
        <v>43319.617186631942</v>
      </c>
      <c r="C17" s="12">
        <v>43321.57500034722</v>
      </c>
      <c r="D17" s="13">
        <v>28.04</v>
      </c>
      <c r="E17" s="14">
        <v>3.49</v>
      </c>
      <c r="F17" s="4">
        <f t="shared" si="3"/>
        <v>0.97859600000000002</v>
      </c>
      <c r="G17" s="8">
        <f t="shared" si="0"/>
        <v>20.27</v>
      </c>
      <c r="H17" s="4">
        <f t="shared" si="14"/>
        <v>1.3839437352840613</v>
      </c>
      <c r="I17" s="15">
        <f>(C17-B17)*24</f>
        <v>46.987529166683089</v>
      </c>
      <c r="J17" s="7">
        <f t="shared" si="5"/>
        <v>1.6666666666666666E-2</v>
      </c>
      <c r="K17" s="8">
        <f>1-EXP(-$AE$3*I17)</f>
        <v>0.41165642563740423</v>
      </c>
      <c r="L17" s="4">
        <f t="shared" si="6"/>
        <v>1.4601619938242846E-4</v>
      </c>
      <c r="M17" s="8">
        <f>G17/((1+K17))</f>
        <v>14.359017981905549</v>
      </c>
      <c r="N17" s="4">
        <f t="shared" si="1"/>
        <v>0.98038190195962593</v>
      </c>
      <c r="O17" s="8">
        <f>M17*K17</f>
        <v>5.9109820180944519</v>
      </c>
      <c r="P17" s="4">
        <f t="shared" si="2"/>
        <v>0.40358595565587913</v>
      </c>
      <c r="Q17" s="8">
        <f t="shared" si="7"/>
        <v>20.27</v>
      </c>
      <c r="R17" s="8">
        <v>0.77640000000000065</v>
      </c>
      <c r="S17" s="4">
        <v>1.4142135623731E-4</v>
      </c>
      <c r="T17" s="8">
        <f>M17/R17</f>
        <v>18.494355978755198</v>
      </c>
      <c r="U17" s="4">
        <f t="shared" si="8"/>
        <v>1.2627323426200179</v>
      </c>
      <c r="V17" s="8">
        <f>SUM($T$2:T17)</f>
        <v>1359.175260792749</v>
      </c>
      <c r="W17" s="4">
        <f>SQRT((U17^2)+(U16^2)+(U15^2)+(U14^2)+(U13^2)+(U12^2)+(U11^2)+(U10^2)+(U9^2)+(U8^2)+(U7^2)+(U6^2)+(U5^2)+(U4^2)+(U3^2)+(U2^2))</f>
        <v>7.4500190815698257</v>
      </c>
      <c r="X17" s="8">
        <f t="shared" si="9"/>
        <v>0.23931696636509248</v>
      </c>
      <c r="Y17" s="4">
        <f>X17*SQRT(((N17/M17)^2))</f>
        <v>1.6339698365993766E-2</v>
      </c>
      <c r="Z17" s="4">
        <f>Y17^2</f>
        <v>2.6698574269165933E-4</v>
      </c>
      <c r="AA17" s="8">
        <f>(C17-$AE$6)*24</f>
        <v>217.80000833328813</v>
      </c>
      <c r="AB17" s="16">
        <f t="shared" si="12"/>
        <v>0.99940178565073345</v>
      </c>
      <c r="AC17" s="8">
        <f t="shared" si="13"/>
        <v>0.23946021490172514</v>
      </c>
    </row>
    <row r="18" spans="1:29" x14ac:dyDescent="0.25">
      <c r="A18" s="29" t="s">
        <v>28</v>
      </c>
      <c r="B18" s="26">
        <v>43319.617360185184</v>
      </c>
      <c r="C18" s="12">
        <v>43321.597917071762</v>
      </c>
      <c r="D18" s="13">
        <v>21.15</v>
      </c>
      <c r="E18" s="14">
        <v>4.0199999999999996</v>
      </c>
      <c r="F18" s="4">
        <f>D18*(E18/100)</f>
        <v>0.85022999999999982</v>
      </c>
      <c r="G18" s="8">
        <f t="shared" si="0"/>
        <v>13.379999999999999</v>
      </c>
      <c r="H18" s="4">
        <f>SQRT((F18^2)+(F$17^2))</f>
        <v>1.2963568891767419</v>
      </c>
      <c r="I18" s="15">
        <f t="shared" si="4"/>
        <v>47.533365277864505</v>
      </c>
      <c r="J18" s="7">
        <f t="shared" si="5"/>
        <v>1.6666666666666666E-2</v>
      </c>
      <c r="K18" s="8">
        <f>1-EXP(-$AE$3*I18)</f>
        <v>0.41527063246242713</v>
      </c>
      <c r="L18" s="4">
        <f t="shared" si="6"/>
        <v>1.4560671577213566E-4</v>
      </c>
      <c r="M18" s="8">
        <f>G18/((1+K18))</f>
        <v>9.4540222153272264</v>
      </c>
      <c r="N18" s="4">
        <f t="shared" si="1"/>
        <v>0.91598408703115552</v>
      </c>
      <c r="O18" s="8">
        <f>M18*K18</f>
        <v>3.9259777846727739</v>
      </c>
      <c r="P18" s="4">
        <f t="shared" si="2"/>
        <v>0.38038378198495254</v>
      </c>
      <c r="Q18" s="8">
        <f t="shared" si="7"/>
        <v>13.38</v>
      </c>
      <c r="R18" s="8">
        <v>0.81519999999999992</v>
      </c>
      <c r="S18" s="4">
        <v>1.4142135623731E-4</v>
      </c>
      <c r="T18" s="8">
        <f>M18/R18</f>
        <v>11.597181324002978</v>
      </c>
      <c r="U18" s="4">
        <f t="shared" si="8"/>
        <v>1.1236329187160279</v>
      </c>
      <c r="V18" s="8">
        <f>SUM($T$2:T18)</f>
        <v>1370.772442116752</v>
      </c>
      <c r="W18" s="4">
        <f>SQRT((U18^2)+(U17^2)+(U16^2)+(U15^2)+(U14^2)+(U13^2)+(U12^2)+(U11^2)+(U10^2)+(U9^2)+(U8^2)+(U7^2)+(U6^2)+(U5^2)+(U4^2)+(U3^2)+(U2^2))</f>
        <v>7.5342773543171884</v>
      </c>
      <c r="X18" s="8">
        <f t="shared" si="9"/>
        <v>0.15756703692212043</v>
      </c>
      <c r="Y18" s="4">
        <f t="shared" ref="Y18:Y22" si="15">X18*SQRT(((N18/M18)^2))</f>
        <v>1.5266401450519256E-2</v>
      </c>
      <c r="Z18" s="4">
        <f t="shared" ref="Z18:Z22" si="16">Y18^2</f>
        <v>2.3306301324841646E-4</v>
      </c>
      <c r="AA18" s="8">
        <f>(C18-$AE$6)*24</f>
        <v>218.3500097222859</v>
      </c>
      <c r="AB18" s="16">
        <f t="shared" si="12"/>
        <v>0.99940027545775623</v>
      </c>
      <c r="AC18" s="8">
        <f t="shared" si="13"/>
        <v>0.15766159044728084</v>
      </c>
    </row>
    <row r="19" spans="1:29" x14ac:dyDescent="0.25">
      <c r="A19" s="29" t="s">
        <v>29</v>
      </c>
      <c r="B19" s="26">
        <v>43319.617533738427</v>
      </c>
      <c r="C19" s="12">
        <v>43321.620833796296</v>
      </c>
      <c r="D19" s="13">
        <v>19</v>
      </c>
      <c r="E19" s="14">
        <v>4.24</v>
      </c>
      <c r="F19" s="4">
        <f t="shared" si="3"/>
        <v>0.80559999999999998</v>
      </c>
      <c r="G19" s="8">
        <f t="shared" si="0"/>
        <v>11.23</v>
      </c>
      <c r="H19" s="4">
        <f>SQRT((F19^2)+(F$17^2))</f>
        <v>1.2675336252802132</v>
      </c>
      <c r="I19" s="15">
        <f t="shared" si="4"/>
        <v>48.079201388871297</v>
      </c>
      <c r="J19" s="7">
        <f t="shared" si="5"/>
        <v>1.6666666666666666E-2</v>
      </c>
      <c r="K19" s="8">
        <f>1-EXP(-$AE$3*I19)</f>
        <v>0.41886263713854022</v>
      </c>
      <c r="L19" s="4">
        <f t="shared" si="6"/>
        <v>1.4519883339669776E-4</v>
      </c>
      <c r="M19" s="8">
        <f>G19/((1+K19))</f>
        <v>7.9147901326430405</v>
      </c>
      <c r="N19" s="4">
        <f t="shared" si="1"/>
        <v>0.89334906004913506</v>
      </c>
      <c r="O19" s="8">
        <f>M19*K19</f>
        <v>3.3152098673569603</v>
      </c>
      <c r="P19" s="4">
        <f t="shared" si="2"/>
        <v>0.37419230791946689</v>
      </c>
      <c r="Q19" s="8">
        <f t="shared" si="7"/>
        <v>11.23</v>
      </c>
      <c r="R19" s="8">
        <v>0.83400000000000052</v>
      </c>
      <c r="S19" s="4">
        <v>1.4142135623731E-4</v>
      </c>
      <c r="T19" s="8">
        <f>M19/R19</f>
        <v>9.4901560343441673</v>
      </c>
      <c r="U19" s="4">
        <f t="shared" si="8"/>
        <v>1.071163151318246</v>
      </c>
      <c r="V19" s="8">
        <f>SUM($T$2:T19)</f>
        <v>1380.2625981510962</v>
      </c>
      <c r="W19" s="4">
        <f>SQRT((U19^2)+(U18^2)+(U17^2)+(U16^2)+(U15^2)+(U14^2)+(U13^2)+(U12^2)+(U11^2)+(U10^2)+(U9^2)+(U8^2)+(U7^2)+(U6^2)+(U5^2)+(U4^2)+(U3^2)+(U2^2))</f>
        <v>7.6100411134578536</v>
      </c>
      <c r="X19" s="8">
        <f t="shared" si="9"/>
        <v>0.131913168877384</v>
      </c>
      <c r="Y19" s="4">
        <f t="shared" si="15"/>
        <v>1.4889151000818916E-2</v>
      </c>
      <c r="Z19" s="4">
        <f t="shared" si="16"/>
        <v>2.2168681752518692E-4</v>
      </c>
      <c r="AA19" s="8">
        <f>(C19-$AE$6)*24</f>
        <v>218.90001111110905</v>
      </c>
      <c r="AB19" s="16">
        <f t="shared" si="12"/>
        <v>0.99939876526706162</v>
      </c>
      <c r="AC19" s="8">
        <f t="shared" si="13"/>
        <v>0.13199252736932676</v>
      </c>
    </row>
    <row r="20" spans="1:29" x14ac:dyDescent="0.25">
      <c r="A20" s="29" t="s">
        <v>30</v>
      </c>
      <c r="B20" s="26">
        <v>43319.617707291669</v>
      </c>
      <c r="C20" s="12">
        <v>43321.643750520831</v>
      </c>
      <c r="D20" s="13">
        <v>16.510000000000002</v>
      </c>
      <c r="E20" s="14">
        <v>4.55</v>
      </c>
      <c r="F20" s="4">
        <f t="shared" si="3"/>
        <v>0.75120500000000001</v>
      </c>
      <c r="G20" s="8">
        <f t="shared" si="0"/>
        <v>8.740000000000002</v>
      </c>
      <c r="H20" s="4">
        <f t="shared" ref="H20:H22" si="17">SQRT((F20^2)+(F$17^2))</f>
        <v>1.2336770579211565</v>
      </c>
      <c r="I20" s="15">
        <f t="shared" si="4"/>
        <v>48.62503749987809</v>
      </c>
      <c r="J20" s="7">
        <f t="shared" si="5"/>
        <v>1.6666666666666666E-2</v>
      </c>
      <c r="K20" s="8">
        <f>1-EXP(-$AE$3*I20)</f>
        <v>0.42243257605515938</v>
      </c>
      <c r="L20" s="4">
        <f t="shared" si="6"/>
        <v>1.4479254508071706E-4</v>
      </c>
      <c r="M20" s="8">
        <f>G20/((1+K20))</f>
        <v>6.144403711730714</v>
      </c>
      <c r="N20" s="4">
        <f t="shared" si="1"/>
        <v>0.86730346021196947</v>
      </c>
      <c r="O20" s="8">
        <f>M20*K20</f>
        <v>2.5955962882692885</v>
      </c>
      <c r="P20" s="4">
        <f t="shared" si="2"/>
        <v>0.36637831509054164</v>
      </c>
      <c r="Q20" s="8">
        <f t="shared" si="7"/>
        <v>8.740000000000002</v>
      </c>
      <c r="R20" s="8">
        <v>0.78469999999999995</v>
      </c>
      <c r="S20" s="4">
        <v>1.4142135623731E-4</v>
      </c>
      <c r="T20" s="8">
        <f>M20/R20</f>
        <v>7.8302583302290234</v>
      </c>
      <c r="U20" s="4">
        <f t="shared" si="8"/>
        <v>1.1052684683946914</v>
      </c>
      <c r="V20" s="8">
        <f>SUM($T$2:T20)</f>
        <v>1388.0928564813253</v>
      </c>
      <c r="W20" s="4">
        <f>SQRT((U20^2)+(U19^2)+(U18^2)+(U17^2)+(U16^2)+(U15^2)+(U14^2)+(U13^2)+(U12^2)+(U11^2)+(U10^2)+(U9^2)+(U8^2)+(U7^2)+(U6^2)+(U5^2)+(U4^2)+(U3^2)+(U2^2))</f>
        <v>7.6898858337264278</v>
      </c>
      <c r="X20" s="8">
        <f t="shared" si="9"/>
        <v>0.10240672852884523</v>
      </c>
      <c r="Y20" s="4">
        <f t="shared" si="15"/>
        <v>1.445505767019949E-2</v>
      </c>
      <c r="Z20" s="4">
        <f t="shared" si="16"/>
        <v>2.089486922487931E-4</v>
      </c>
      <c r="AA20" s="8">
        <f>(C20-$AE$6)*24</f>
        <v>219.4500124999322</v>
      </c>
      <c r="AB20" s="16">
        <f t="shared" si="12"/>
        <v>0.99939725507864907</v>
      </c>
      <c r="AC20" s="8">
        <f t="shared" si="13"/>
        <v>0.10246849089132848</v>
      </c>
    </row>
    <row r="21" spans="1:29" x14ac:dyDescent="0.25">
      <c r="A21" s="29" t="s">
        <v>31</v>
      </c>
      <c r="B21" s="26">
        <v>43319.617880844904</v>
      </c>
      <c r="C21" s="12">
        <v>43321.666667245372</v>
      </c>
      <c r="D21" s="13">
        <v>15.21</v>
      </c>
      <c r="E21" s="14">
        <v>4.74</v>
      </c>
      <c r="F21" s="4">
        <f t="shared" si="3"/>
        <v>0.72095400000000009</v>
      </c>
      <c r="G21" s="8">
        <f t="shared" si="0"/>
        <v>7.4400000000000013</v>
      </c>
      <c r="H21" s="4">
        <f t="shared" si="17"/>
        <v>1.215493645122014</v>
      </c>
      <c r="I21" s="15">
        <f t="shared" si="4"/>
        <v>49.170873611234128</v>
      </c>
      <c r="J21" s="7">
        <f t="shared" si="5"/>
        <v>1.6666666666666666E-2</v>
      </c>
      <c r="K21" s="8">
        <f>1-EXP(-$AE$3*I21)</f>
        <v>0.42598058476496736</v>
      </c>
      <c r="L21" s="4">
        <f t="shared" si="6"/>
        <v>1.443878436832854E-4</v>
      </c>
      <c r="M21" s="8">
        <f>G21/((1+K21))</f>
        <v>5.2174623409941274</v>
      </c>
      <c r="N21" s="4">
        <f t="shared" si="1"/>
        <v>0.85239327529993558</v>
      </c>
      <c r="O21" s="8">
        <f>M21*K21</f>
        <v>2.2225376590058739</v>
      </c>
      <c r="P21" s="4">
        <f t="shared" si="2"/>
        <v>0.36310376734515265</v>
      </c>
      <c r="Q21" s="8">
        <f t="shared" si="7"/>
        <v>7.4400000000000013</v>
      </c>
      <c r="R21" s="8">
        <v>0.95830000000000037</v>
      </c>
      <c r="S21" s="4">
        <v>1.4142135623731E-4</v>
      </c>
      <c r="T21" s="8">
        <f>M21/R21</f>
        <v>5.4444979035731249</v>
      </c>
      <c r="U21" s="4">
        <f t="shared" si="8"/>
        <v>0.88948515397754724</v>
      </c>
      <c r="V21" s="8">
        <f>SUM($T$2:T21)</f>
        <v>1393.5373543848984</v>
      </c>
      <c r="W21" s="4">
        <f>SQRT((U21^2)+(U20^2)+(U19^2)+(U18^2)+(U17^2)+(U16^2)+(U15^2)+(U14^2)+(U13^2)+(U12^2)+(U11^2)+(U10^2)+(U9^2)+(U8^2)+(U7^2)+(U6^2)+(U5^2)+(U4^2)+(U3^2)+(U2^2))</f>
        <v>7.7411580512797213</v>
      </c>
      <c r="X21" s="8">
        <f t="shared" si="9"/>
        <v>8.6957705683235451E-2</v>
      </c>
      <c r="Y21" s="4">
        <f t="shared" si="15"/>
        <v>1.4206554588332258E-2</v>
      </c>
      <c r="Z21" s="4">
        <f t="shared" si="16"/>
        <v>2.0182619327126431E-4</v>
      </c>
      <c r="AA21" s="8">
        <f>(C21-$AE$6)*24</f>
        <v>220.00001388892997</v>
      </c>
      <c r="AB21" s="16">
        <f t="shared" si="12"/>
        <v>0.99939574489251803</v>
      </c>
      <c r="AC21" s="8">
        <f t="shared" si="13"/>
        <v>8.7010282090592139E-2</v>
      </c>
    </row>
    <row r="22" spans="1:29" ht="15.75" thickBot="1" x14ac:dyDescent="0.3">
      <c r="A22" s="30" t="s">
        <v>11</v>
      </c>
      <c r="B22" s="26">
        <v>43319.618054398146</v>
      </c>
      <c r="C22" s="12">
        <v>43321.689583969906</v>
      </c>
      <c r="D22" s="13">
        <v>7.77</v>
      </c>
      <c r="E22" s="14">
        <v>6.62</v>
      </c>
      <c r="F22" s="4">
        <f t="shared" si="3"/>
        <v>0.51437399999999989</v>
      </c>
      <c r="G22" s="8">
        <f t="shared" si="0"/>
        <v>0</v>
      </c>
      <c r="H22" s="4">
        <f t="shared" si="17"/>
        <v>1.1055454504867721</v>
      </c>
      <c r="I22" s="15">
        <f>(C22-B22)*24</f>
        <v>49.716709722240921</v>
      </c>
      <c r="J22" s="7">
        <f t="shared" si="5"/>
        <v>1.6666666666666666E-2</v>
      </c>
      <c r="K22" s="8">
        <f>1-EXP(-$AE$3*I22)</f>
        <v>0.42950679798115499</v>
      </c>
      <c r="L22" s="4">
        <f t="shared" si="6"/>
        <v>1.4398472209871315E-4</v>
      </c>
      <c r="M22" s="8">
        <f>G22/((1+K22))</f>
        <v>0</v>
      </c>
      <c r="N22" s="4" t="e">
        <f t="shared" si="1"/>
        <v>#DIV/0!</v>
      </c>
      <c r="O22" s="8">
        <f>M22*K22</f>
        <v>0</v>
      </c>
      <c r="P22" s="4" t="e">
        <f t="shared" si="2"/>
        <v>#DIV/0!</v>
      </c>
      <c r="Q22" s="8">
        <f t="shared" si="7"/>
        <v>0</v>
      </c>
      <c r="R22" s="8"/>
      <c r="S22" s="4">
        <v>1.4142135623731E-4</v>
      </c>
      <c r="T22" s="8"/>
      <c r="U22" s="4" t="e">
        <f t="shared" si="8"/>
        <v>#DIV/0!</v>
      </c>
      <c r="V22" s="8"/>
      <c r="W22" s="8"/>
      <c r="X22" s="8"/>
      <c r="Y22" s="4" t="e">
        <f t="shared" si="15"/>
        <v>#DIV/0!</v>
      </c>
      <c r="Z22" s="4" t="e">
        <f t="shared" si="16"/>
        <v>#DIV/0!</v>
      </c>
      <c r="AA22" s="8"/>
      <c r="AB22" s="8"/>
      <c r="AC22" s="8"/>
    </row>
    <row r="23" spans="1:29" x14ac:dyDescent="0.25">
      <c r="Y23" s="10" t="s">
        <v>53</v>
      </c>
    </row>
    <row r="24" spans="1:29" x14ac:dyDescent="0.25">
      <c r="W24" s="5" t="s">
        <v>54</v>
      </c>
      <c r="X24" s="11">
        <f>SUM(X2:X21)</f>
        <v>19.046200486775589</v>
      </c>
      <c r="Y24" s="5">
        <f>SQRT(SUM(Z2:Z21))</f>
        <v>0.10656518352371151</v>
      </c>
      <c r="AC24">
        <f>SUM(AC2:AC21)</f>
        <v>19.057393153581884</v>
      </c>
    </row>
    <row r="27" spans="1:29" x14ac:dyDescent="0.25">
      <c r="G2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CT23E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2021-06-16T15:47:58Z</dcterms:modified>
</cp:coreProperties>
</file>